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4220" windowHeight="11895" tabRatio="749"/>
  </bookViews>
  <sheets>
    <sheet name="GENERAL FLOOR PLAN +- 12,280 SF" sheetId="1" r:id="rId1"/>
    <sheet name="MEZZANINE&amp;UPPER LEVELS +-4640SF" sheetId="2" r:id="rId2"/>
    <sheet name="BASEMENT LEVEL +- 4800 SF" sheetId="3" r:id="rId3"/>
  </sheets>
  <calcPr calcId="125725"/>
</workbook>
</file>

<file path=xl/calcChain.xml><?xml version="1.0" encoding="utf-8"?>
<calcChain xmlns="http://schemas.openxmlformats.org/spreadsheetml/2006/main">
  <c r="C3" i="3"/>
  <c r="B3"/>
  <c r="D3" s="1"/>
  <c r="D2"/>
  <c r="C2"/>
  <c r="B2"/>
  <c r="D11"/>
  <c r="D10"/>
  <c r="D9"/>
  <c r="D8"/>
  <c r="C8"/>
  <c r="B8"/>
  <c r="C11"/>
  <c r="C10"/>
  <c r="C9"/>
  <c r="B11"/>
  <c r="B10"/>
  <c r="B9"/>
  <c r="D8" i="1"/>
  <c r="C8"/>
  <c r="B8"/>
  <c r="C11"/>
  <c r="B11"/>
  <c r="D11"/>
  <c r="D10"/>
  <c r="C10"/>
  <c r="B10"/>
  <c r="D7" i="2"/>
  <c r="C7"/>
  <c r="B7"/>
  <c r="C15" i="1"/>
  <c r="B15"/>
  <c r="D15" s="1"/>
  <c r="C14"/>
  <c r="B14"/>
  <c r="D14" s="1"/>
  <c r="C16"/>
  <c r="B16"/>
  <c r="D16" s="1"/>
  <c r="B7"/>
  <c r="D7" s="1"/>
  <c r="B2"/>
  <c r="B4"/>
  <c r="B3"/>
  <c r="C3"/>
  <c r="B5"/>
  <c r="B12" i="3"/>
  <c r="B13"/>
  <c r="C12" i="2"/>
  <c r="C11"/>
  <c r="C5"/>
  <c r="B4"/>
  <c r="C7" i="1"/>
  <c r="C5"/>
  <c r="C9"/>
  <c r="B9"/>
  <c r="D9" s="1"/>
</calcChain>
</file>

<file path=xl/sharedStrings.xml><?xml version="1.0" encoding="utf-8"?>
<sst xmlns="http://schemas.openxmlformats.org/spreadsheetml/2006/main" count="50" uniqueCount="40">
  <si>
    <t>HOME THEATER (former Stage)</t>
  </si>
  <si>
    <t>RAISED PLATFORM</t>
  </si>
  <si>
    <t>MEDIA/ MUSIC/ BANQUET ROOM 
(former Ballroom)</t>
  </si>
  <si>
    <t>ARTS/ CRAFT/ MAP/ SHOP ROOM 
(former Bocce Ball Court, under concrete floor)</t>
  </si>
  <si>
    <t>ENTRANCE/ FOYER/ MEETING ROOM 
(former Bar Room)</t>
  </si>
  <si>
    <t>WALK-IN FREEZER</t>
  </si>
  <si>
    <t>KITCHEN</t>
  </si>
  <si>
    <t>UTILITY ROOM</t>
  </si>
  <si>
    <t>L</t>
  </si>
  <si>
    <t>W</t>
  </si>
  <si>
    <t>sqft</t>
  </si>
  <si>
    <t>windows</t>
  </si>
  <si>
    <t>DEN &amp; BDRM</t>
  </si>
  <si>
    <t>UTILITY AREA</t>
  </si>
  <si>
    <t>BACKSTAGE</t>
  </si>
  <si>
    <t>MAIN LIVING AREA &amp; BDRM
(former Disco)</t>
  </si>
  <si>
    <t>[corridor]</t>
  </si>
  <si>
    <t>BDRM [1]</t>
  </si>
  <si>
    <t>BDRM [2]</t>
  </si>
  <si>
    <t>BALLROOM BALCONY [1]</t>
  </si>
  <si>
    <t>BALLROOM BALCONY [2]</t>
  </si>
  <si>
    <t>MECHANICAL</t>
  </si>
  <si>
    <t>LIBRARY LOUNGE</t>
  </si>
  <si>
    <t>GAME ROOM
(former Banquet Hall)</t>
  </si>
  <si>
    <t>PANTRY [1]</t>
  </si>
  <si>
    <t>PANTRY [2]</t>
  </si>
  <si>
    <t>STORAGE [1]</t>
  </si>
  <si>
    <t>STORAGE [2]</t>
  </si>
  <si>
    <t>STORAGE [3]</t>
  </si>
  <si>
    <t>HOME OFFICE</t>
  </si>
  <si>
    <t>STORAGE [4]</t>
  </si>
  <si>
    <t>STORAGE [5]</t>
  </si>
  <si>
    <t>STORAGE [6]</t>
  </si>
  <si>
    <t>STORAGE [7]</t>
  </si>
  <si>
    <t>STORAGE [8]</t>
  </si>
  <si>
    <t>STORAGE [9]</t>
  </si>
  <si>
    <t>LIBRARY [1]</t>
  </si>
  <si>
    <t>LIBRARY [2]</t>
  </si>
  <si>
    <t>LIBRARY [3]</t>
  </si>
  <si>
    <t>LIBRARY [4]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</si>
</sst>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/>
  </sheetViews>
  <sheetFormatPr defaultRowHeight="15"/>
  <cols>
    <col min="1" max="1" width="43.7109375" style="1" customWidth="1"/>
    <col min="2" max="3" width="6" customWidth="1"/>
    <col min="4" max="4" width="7.5703125" style="2" customWidth="1"/>
  </cols>
  <sheetData>
    <row r="1" spans="1:5">
      <c r="B1" t="s">
        <v>8</v>
      </c>
      <c r="C1" t="s">
        <v>9</v>
      </c>
      <c r="D1" s="2" t="s">
        <v>10</v>
      </c>
      <c r="E1" t="s">
        <v>11</v>
      </c>
    </row>
    <row r="2" spans="1:5" ht="30">
      <c r="A2" s="1" t="s">
        <v>4</v>
      </c>
      <c r="B2">
        <f>874/12</f>
        <v>72.833333333333329</v>
      </c>
      <c r="C2">
        <v>29</v>
      </c>
    </row>
    <row r="3" spans="1:5">
      <c r="A3" s="1" t="s">
        <v>26</v>
      </c>
      <c r="B3">
        <f>307/12</f>
        <v>25.583333333333332</v>
      </c>
      <c r="C3">
        <f>122/12</f>
        <v>10.166666666666666</v>
      </c>
    </row>
    <row r="4" spans="1:5">
      <c r="A4" s="1" t="s">
        <v>27</v>
      </c>
      <c r="B4">
        <f>245/12</f>
        <v>20.416666666666668</v>
      </c>
    </row>
    <row r="5" spans="1:5" ht="30">
      <c r="A5" s="1" t="s">
        <v>2</v>
      </c>
      <c r="B5">
        <f>66+4/12</f>
        <v>66.333333333333329</v>
      </c>
      <c r="C5">
        <f>56+10/12</f>
        <v>56.833333333333336</v>
      </c>
    </row>
    <row r="6" spans="1:5">
      <c r="A6" s="1" t="s">
        <v>28</v>
      </c>
    </row>
    <row r="7" spans="1:5">
      <c r="A7" s="1" t="s">
        <v>0</v>
      </c>
      <c r="B7">
        <f>315/12</f>
        <v>26.25</v>
      </c>
      <c r="C7">
        <f>12+10/12</f>
        <v>12.833333333333334</v>
      </c>
      <c r="D7" s="2">
        <f>B7*C7</f>
        <v>336.875</v>
      </c>
    </row>
    <row r="8" spans="1:5">
      <c r="A8" s="1" t="s">
        <v>1</v>
      </c>
      <c r="B8">
        <f>211/12</f>
        <v>17.583333333333332</v>
      </c>
      <c r="C8">
        <f>116/12</f>
        <v>9.6666666666666661</v>
      </c>
      <c r="D8" s="2">
        <f>B8*C8</f>
        <v>169.9722222222222</v>
      </c>
    </row>
    <row r="9" spans="1:5" ht="30">
      <c r="A9" s="1" t="s">
        <v>3</v>
      </c>
      <c r="B9">
        <f>71+4/12</f>
        <v>71.333333333333329</v>
      </c>
      <c r="C9">
        <f>43+10/12</f>
        <v>43.833333333333336</v>
      </c>
      <c r="D9" s="2">
        <f>B9*C9-(122*218+64*148+64*205)/144</f>
        <v>2785.1944444444443</v>
      </c>
    </row>
    <row r="10" spans="1:5">
      <c r="A10" s="1" t="s">
        <v>30</v>
      </c>
      <c r="B10">
        <f>260/12</f>
        <v>21.666666666666668</v>
      </c>
      <c r="C10">
        <f>86/12</f>
        <v>7.166666666666667</v>
      </c>
      <c r="D10" s="2">
        <f t="shared" ref="D10:D11" si="0">B10*C10</f>
        <v>155.2777777777778</v>
      </c>
    </row>
    <row r="11" spans="1:5">
      <c r="A11" s="1" t="s">
        <v>31</v>
      </c>
      <c r="B11">
        <f>183/12</f>
        <v>15.25</v>
      </c>
      <c r="C11">
        <f>86/12</f>
        <v>7.166666666666667</v>
      </c>
      <c r="D11" s="2">
        <f t="shared" si="0"/>
        <v>109.29166666666667</v>
      </c>
    </row>
    <row r="12" spans="1:5">
      <c r="A12" s="1" t="s">
        <v>32</v>
      </c>
    </row>
    <row r="13" spans="1:5">
      <c r="A13" s="1" t="s">
        <v>33</v>
      </c>
    </row>
    <row r="14" spans="1:5">
      <c r="A14" s="1" t="s">
        <v>5</v>
      </c>
      <c r="B14">
        <f>124/12</f>
        <v>10.333333333333334</v>
      </c>
      <c r="C14">
        <f>77/12</f>
        <v>6.416666666666667</v>
      </c>
      <c r="D14" s="2">
        <f>B14*C14</f>
        <v>66.305555555555557</v>
      </c>
    </row>
    <row r="15" spans="1:5">
      <c r="A15" s="1" t="s">
        <v>6</v>
      </c>
      <c r="B15">
        <f>292/12</f>
        <v>24.333333333333332</v>
      </c>
      <c r="C15">
        <f>65/12</f>
        <v>5.416666666666667</v>
      </c>
      <c r="D15" s="2">
        <f>B15*C15</f>
        <v>131.80555555555554</v>
      </c>
    </row>
    <row r="16" spans="1:5">
      <c r="A16" s="1" t="s">
        <v>7</v>
      </c>
      <c r="B16">
        <f>218/12</f>
        <v>18.166666666666668</v>
      </c>
      <c r="C16">
        <f>166/12</f>
        <v>13.833333333333334</v>
      </c>
      <c r="D16" s="2">
        <f>B16*C16</f>
        <v>251.30555555555557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B2" sqref="B2"/>
    </sheetView>
  </sheetViews>
  <sheetFormatPr defaultRowHeight="15"/>
  <cols>
    <col min="1" max="1" width="43.7109375" customWidth="1"/>
    <col min="2" max="3" width="6" customWidth="1"/>
    <col min="4" max="4" width="9.140625" style="2"/>
  </cols>
  <sheetData>
    <row r="1" spans="1:5">
      <c r="A1" s="1"/>
      <c r="B1" t="s">
        <v>8</v>
      </c>
      <c r="C1" t="s">
        <v>9</v>
      </c>
      <c r="D1" s="2" t="s">
        <v>10</v>
      </c>
      <c r="E1" t="s">
        <v>11</v>
      </c>
    </row>
    <row r="2" spans="1:5">
      <c r="A2" t="s">
        <v>16</v>
      </c>
    </row>
    <row r="3" spans="1:5">
      <c r="A3" t="s">
        <v>12</v>
      </c>
      <c r="C3">
        <v>18</v>
      </c>
    </row>
    <row r="4" spans="1:5">
      <c r="A4" t="s">
        <v>17</v>
      </c>
      <c r="B4">
        <f>29+8/12</f>
        <v>29.666666666666668</v>
      </c>
      <c r="C4">
        <v>16</v>
      </c>
    </row>
    <row r="5" spans="1:5">
      <c r="A5" t="s">
        <v>18</v>
      </c>
      <c r="C5">
        <f>8+11/12</f>
        <v>8.9166666666666661</v>
      </c>
    </row>
    <row r="6" spans="1:5">
      <c r="A6" t="s">
        <v>19</v>
      </c>
    </row>
    <row r="7" spans="1:5">
      <c r="A7" t="s">
        <v>20</v>
      </c>
      <c r="B7">
        <f>706/12</f>
        <v>58.833333333333336</v>
      </c>
      <c r="C7">
        <f>89/12</f>
        <v>7.416666666666667</v>
      </c>
      <c r="D7" s="2">
        <f>B7*C7</f>
        <v>436.34722222222229</v>
      </c>
    </row>
    <row r="8" spans="1:5">
      <c r="A8" t="s">
        <v>13</v>
      </c>
    </row>
    <row r="9" spans="1:5">
      <c r="A9" t="s">
        <v>14</v>
      </c>
    </row>
    <row r="10" spans="1:5">
      <c r="A10" t="s">
        <v>6</v>
      </c>
    </row>
    <row r="11" spans="1:5" ht="30">
      <c r="A11" s="1" t="s">
        <v>15</v>
      </c>
      <c r="B11">
        <v>43.5</v>
      </c>
      <c r="C11">
        <f>26+8/12</f>
        <v>26.666666666666668</v>
      </c>
    </row>
    <row r="12" spans="1:5">
      <c r="A12" t="s">
        <v>29</v>
      </c>
      <c r="B12">
        <v>43.5</v>
      </c>
      <c r="C12">
        <f>26+8/12</f>
        <v>26.666666666666668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D3" sqref="D3"/>
    </sheetView>
  </sheetViews>
  <sheetFormatPr defaultRowHeight="15"/>
  <cols>
    <col min="1" max="1" width="43.7109375" customWidth="1"/>
    <col min="2" max="3" width="6" customWidth="1"/>
    <col min="4" max="4" width="9.140625" style="2"/>
  </cols>
  <sheetData>
    <row r="1" spans="1:5">
      <c r="A1" s="1"/>
      <c r="B1" t="s">
        <v>8</v>
      </c>
      <c r="C1" t="s">
        <v>9</v>
      </c>
      <c r="D1" s="2" t="s">
        <v>10</v>
      </c>
      <c r="E1" t="s">
        <v>11</v>
      </c>
    </row>
    <row r="2" spans="1:5">
      <c r="A2" t="s">
        <v>21</v>
      </c>
      <c r="B2">
        <f>206/12</f>
        <v>17.166666666666668</v>
      </c>
      <c r="C2">
        <f>82/12</f>
        <v>6.833333333333333</v>
      </c>
      <c r="D2" s="2">
        <f t="shared" ref="D2:D3" si="0">B2*C2</f>
        <v>117.30555555555556</v>
      </c>
    </row>
    <row r="3" spans="1:5">
      <c r="A3" t="s">
        <v>24</v>
      </c>
      <c r="B3">
        <f>103/12</f>
        <v>8.5833333333333339</v>
      </c>
      <c r="C3">
        <f>82/12</f>
        <v>6.833333333333333</v>
      </c>
      <c r="D3" s="2">
        <f t="shared" si="0"/>
        <v>58.652777777777779</v>
      </c>
    </row>
    <row r="4" spans="1:5">
      <c r="A4" t="s">
        <v>6</v>
      </c>
    </row>
    <row r="5" spans="1:5">
      <c r="A5" t="s">
        <v>25</v>
      </c>
    </row>
    <row r="6" spans="1:5">
      <c r="A6" t="s">
        <v>34</v>
      </c>
    </row>
    <row r="7" spans="1:5">
      <c r="A7" t="s">
        <v>35</v>
      </c>
    </row>
    <row r="8" spans="1:5">
      <c r="A8" t="s">
        <v>36</v>
      </c>
      <c r="B8">
        <f>493/12</f>
        <v>41.083333333333336</v>
      </c>
      <c r="C8">
        <f>165/12</f>
        <v>13.75</v>
      </c>
      <c r="D8" s="2">
        <f>B8*C8</f>
        <v>564.89583333333337</v>
      </c>
    </row>
    <row r="9" spans="1:5">
      <c r="A9" t="s">
        <v>37</v>
      </c>
      <c r="B9">
        <f>189/12</f>
        <v>15.75</v>
      </c>
      <c r="C9">
        <f>160/12</f>
        <v>13.333333333333334</v>
      </c>
      <c r="D9" s="2">
        <f t="shared" ref="D9:D11" si="1">B9*C9</f>
        <v>210</v>
      </c>
    </row>
    <row r="10" spans="1:5">
      <c r="A10" t="s">
        <v>38</v>
      </c>
      <c r="B10">
        <f t="shared" ref="B10:B11" si="2">189/12</f>
        <v>15.75</v>
      </c>
      <c r="C10">
        <f>160/12</f>
        <v>13.333333333333334</v>
      </c>
      <c r="D10" s="2">
        <f t="shared" si="1"/>
        <v>210</v>
      </c>
    </row>
    <row r="11" spans="1:5">
      <c r="A11" t="s">
        <v>39</v>
      </c>
      <c r="B11">
        <f t="shared" si="2"/>
        <v>15.75</v>
      </c>
      <c r="C11">
        <f>158/12</f>
        <v>13.166666666666666</v>
      </c>
      <c r="D11" s="2">
        <f t="shared" si="1"/>
        <v>207.375</v>
      </c>
    </row>
    <row r="12" spans="1:5">
      <c r="A12" t="s">
        <v>22</v>
      </c>
      <c r="B12">
        <f>56+2/12</f>
        <v>56.166666666666664</v>
      </c>
    </row>
    <row r="13" spans="1:5" ht="30">
      <c r="A13" s="1" t="s">
        <v>23</v>
      </c>
      <c r="B13">
        <f>65+9/12</f>
        <v>65.75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FLOOR PLAN +- 12,280 SF</vt:lpstr>
      <vt:lpstr>MEZZANINE&amp;UPPER LEVELS +-4640SF</vt:lpstr>
      <vt:lpstr>BASEMENT LEVEL +- 4800 SF</vt:lpstr>
    </vt:vector>
  </TitlesOfParts>
  <Company>Lawrence Berkeley National 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 D'haeseleer</dc:creator>
  <cp:lastModifiedBy>Patrik D'haeseleer</cp:lastModifiedBy>
  <dcterms:created xsi:type="dcterms:W3CDTF">2014-04-13T01:04:09Z</dcterms:created>
  <dcterms:modified xsi:type="dcterms:W3CDTF">2014-04-15T08:39:38Z</dcterms:modified>
</cp:coreProperties>
</file>